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5521" windowWidth="10380" windowHeight="12405" activeTab="0"/>
  </bookViews>
  <sheets>
    <sheet name="Statement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<sst xmlns="http://schemas.openxmlformats.org/spreadsheetml/2006/main" count="55" uniqueCount="52">
  <si>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Description</t>
  </si>
  <si>
    <t>Delta</t>
  </si>
  <si>
    <t>Apple Day</t>
  </si>
  <si>
    <t>Equipment</t>
  </si>
  <si>
    <t>Total</t>
  </si>
  <si>
    <t>Investment Income</t>
  </si>
  <si>
    <t>Office</t>
  </si>
  <si>
    <t>Revenue</t>
  </si>
  <si>
    <t>Expense</t>
  </si>
  <si>
    <t>Subtotal</t>
  </si>
  <si>
    <t>Uniform</t>
  </si>
  <si>
    <t>Banquet</t>
  </si>
  <si>
    <t>Royal Canadian Legion</t>
  </si>
  <si>
    <t>Awards</t>
  </si>
  <si>
    <t>Badges</t>
  </si>
  <si>
    <t>Camp/Events</t>
  </si>
  <si>
    <t>Camp/Events - Beaver</t>
  </si>
  <si>
    <t>Bank balance at end of year</t>
  </si>
  <si>
    <t>Camp/Events - Scout</t>
  </si>
  <si>
    <t>Frank &amp; Diana Yates</t>
  </si>
  <si>
    <t>Grenville Pumping</t>
  </si>
  <si>
    <t>Cargo Trailer</t>
  </si>
  <si>
    <t>Bingo</t>
  </si>
  <si>
    <t>Community Centre Rental</t>
  </si>
  <si>
    <t>Camp/Events - Beaver Sleepover</t>
  </si>
  <si>
    <t>Marketing</t>
  </si>
  <si>
    <t>Miscellaneous</t>
  </si>
  <si>
    <t>Net bank balance at end of year</t>
  </si>
  <si>
    <t>Bank Balance Difference</t>
  </si>
  <si>
    <t>Net bank balance at beginning of year</t>
  </si>
  <si>
    <t>CIAF received grant for 2006/2007</t>
  </si>
  <si>
    <t>Registration - Adult</t>
  </si>
  <si>
    <t>Registration - Youth</t>
  </si>
  <si>
    <t>Community Centre rental received for 2006/2007</t>
  </si>
  <si>
    <t>Group fee received for 2006/2007</t>
  </si>
  <si>
    <t>Youth registration received for 2006/2007</t>
  </si>
  <si>
    <t>Youth registration paid for 2006/2007</t>
  </si>
  <si>
    <t>Adult registration paid for 2006/2007</t>
  </si>
  <si>
    <t>Solstar Enterprises (Wolf Cub Award)</t>
  </si>
  <si>
    <t>Lion's Club (Eager Beaver Award + Group Crests)</t>
  </si>
  <si>
    <t>Award - Eager Beaver (Opemikon 1/2 week)</t>
  </si>
  <si>
    <t>Award - Wolf Cub Spirit (Opemikon full week)</t>
  </si>
  <si>
    <t>Eager Beaver award not claimed yet for 2005/2006</t>
  </si>
  <si>
    <t>Restricted Funds</t>
  </si>
  <si>
    <t>Colony</t>
  </si>
  <si>
    <t>Pack</t>
  </si>
  <si>
    <t>Troop</t>
  </si>
  <si>
    <t>Expenses</t>
  </si>
  <si>
    <t>Subsidy Provided</t>
  </si>
  <si>
    <t>Christmas Lights (Allan Yates)</t>
  </si>
  <si>
    <t>Community Centre Rental Fee</t>
  </si>
  <si>
    <t>Group Fee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</si>
</sst>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mmm\ d\,\ yyyy"/>
    <numFmt numFmtId="17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2.57421875" style="0" customWidth="1"/>
    <col min="2" max="2" width="42.8515625" style="0" bestFit="1" customWidth="1"/>
    <col min="3" max="3" width="11.28125" style="0" customWidth="1"/>
    <col min="4" max="4" width="10.7109375" style="0" customWidth="1"/>
    <col min="5" max="5" width="11.28125" style="0" bestFit="1" customWidth="1"/>
    <col min="7" max="7" width="11.28125" style="0" bestFit="1" customWidth="1"/>
    <col min="10" max="10" width="9.7109375" style="0" bestFit="1" customWidth="1"/>
  </cols>
  <sheetData>
    <row r="1" spans="1:5" s="2" customFormat="1" ht="12.75">
      <c r="A1" s="2" t="s">
        <v>0</v>
      </c>
      <c r="C1" s="1" t="s">
        <v>7</v>
      </c>
      <c r="D1" s="1" t="s">
        <v>8</v>
      </c>
      <c r="E1" s="1" t="s">
        <v>1</v>
      </c>
    </row>
    <row r="2" spans="3:5" ht="12.75">
      <c r="C2" s="3"/>
      <c r="D2" s="3"/>
      <c r="E2" s="3"/>
    </row>
    <row r="3" spans="1:5" ht="12.75">
      <c r="A3" s="2" t="s">
        <v>7</v>
      </c>
      <c r="C3" s="3"/>
      <c r="D3" s="3"/>
      <c r="E3" s="3"/>
    </row>
    <row r="4" spans="2:5" ht="12.75">
      <c r="B4" t="s">
        <v>2</v>
      </c>
      <c r="C4" s="3">
        <f>581.7+674.43+30+60+49.45</f>
        <v>1395.5800000000002</v>
      </c>
      <c r="D4" s="3">
        <f>60+40</f>
        <v>100</v>
      </c>
      <c r="E4" s="3">
        <f aca="true" t="shared" si="0" ref="E4:E16">IF((C4+D4)&lt;&gt;0,C4-D4,"")</f>
        <v>1295.5800000000002</v>
      </c>
    </row>
    <row r="5" spans="2:5" ht="12.75">
      <c r="B5" t="s">
        <v>22</v>
      </c>
      <c r="C5" s="3">
        <f>134+268+285+471+420+357+246+243</f>
        <v>2424</v>
      </c>
      <c r="D5" s="3">
        <f>45+125+45+45+145+150</f>
        <v>555</v>
      </c>
      <c r="E5" s="3">
        <f t="shared" si="0"/>
        <v>1869</v>
      </c>
    </row>
    <row r="6" spans="2:5" ht="12.75">
      <c r="B6" t="s">
        <v>49</v>
      </c>
      <c r="C6" s="3">
        <v>62.53</v>
      </c>
      <c r="D6" s="3"/>
      <c r="E6" s="3">
        <f t="shared" si="0"/>
        <v>62.53</v>
      </c>
    </row>
    <row r="7" spans="2:5" ht="12.75">
      <c r="B7" t="s">
        <v>50</v>
      </c>
      <c r="C7" s="3">
        <v>945</v>
      </c>
      <c r="D7" s="3"/>
      <c r="E7" s="3">
        <f t="shared" si="0"/>
        <v>945</v>
      </c>
    </row>
    <row r="8" spans="2:5" ht="12.75">
      <c r="B8" t="s">
        <v>19</v>
      </c>
      <c r="C8" s="3">
        <v>200</v>
      </c>
      <c r="D8" s="3"/>
      <c r="E8" s="3">
        <f t="shared" si="0"/>
        <v>200</v>
      </c>
    </row>
    <row r="9" spans="2:5" ht="12.75">
      <c r="B9" t="s">
        <v>20</v>
      </c>
      <c r="C9" s="3">
        <v>250</v>
      </c>
      <c r="D9" s="3"/>
      <c r="E9" s="3">
        <f t="shared" si="0"/>
        <v>250</v>
      </c>
    </row>
    <row r="10" spans="2:5" ht="12.75">
      <c r="B10" t="s">
        <v>51</v>
      </c>
      <c r="C10" s="3">
        <f>43*25</f>
        <v>1075</v>
      </c>
      <c r="D10" s="3"/>
      <c r="E10" s="3">
        <f t="shared" si="0"/>
        <v>1075</v>
      </c>
    </row>
    <row r="11" spans="2:5" ht="12.75">
      <c r="B11" t="s">
        <v>5</v>
      </c>
      <c r="C11" s="3">
        <v>0.42</v>
      </c>
      <c r="D11" s="3"/>
      <c r="E11" s="3">
        <f>IF((C11+D11)&lt;&gt;0,C11-D11,"")</f>
        <v>0.42</v>
      </c>
    </row>
    <row r="12" spans="2:5" ht="12.75">
      <c r="B12" t="s">
        <v>39</v>
      </c>
      <c r="C12" s="3">
        <f>250+600</f>
        <v>850</v>
      </c>
      <c r="D12" s="3"/>
      <c r="E12" s="3">
        <f t="shared" si="0"/>
        <v>850</v>
      </c>
    </row>
    <row r="13" spans="2:5" ht="12.75">
      <c r="B13" t="s">
        <v>26</v>
      </c>
      <c r="C13" s="3">
        <f>20.35+250</f>
        <v>270.35</v>
      </c>
      <c r="D13" s="3"/>
      <c r="E13" s="3">
        <f>IF((C13+D13)&lt;&gt;0,C13-D13,"")</f>
        <v>270.35</v>
      </c>
    </row>
    <row r="14" spans="2:5" ht="12.75">
      <c r="B14" t="s">
        <v>32</v>
      </c>
      <c r="C14" s="3">
        <f>2421.66+3060+1415+407+3+435+245+110-$C$10-$C$34-$C$32</f>
        <v>7003.66</v>
      </c>
      <c r="D14" s="3"/>
      <c r="E14" s="3">
        <f>IF((C14+D14)&lt;&gt;0,C14-D14,"")</f>
        <v>7003.66</v>
      </c>
    </row>
    <row r="15" spans="2:5" ht="12.75">
      <c r="B15" t="s">
        <v>12</v>
      </c>
      <c r="C15" s="3">
        <f>500+500+2000</f>
        <v>3000</v>
      </c>
      <c r="D15" s="3"/>
      <c r="E15" s="3">
        <f t="shared" si="0"/>
        <v>3000</v>
      </c>
    </row>
    <row r="16" spans="2:5" ht="12.75">
      <c r="B16" t="s">
        <v>38</v>
      </c>
      <c r="C16" s="3">
        <v>450</v>
      </c>
      <c r="D16" s="3"/>
      <c r="E16" s="3">
        <f t="shared" si="0"/>
        <v>450</v>
      </c>
    </row>
    <row r="17" spans="2:5" ht="12.75">
      <c r="B17" s="2" t="s">
        <v>9</v>
      </c>
      <c r="C17" s="3"/>
      <c r="D17" s="3"/>
      <c r="E17" s="4">
        <f>SUM(E4:E16)</f>
        <v>17271.54</v>
      </c>
    </row>
    <row r="18" spans="3:5" ht="12.75">
      <c r="C18" s="3"/>
      <c r="D18" s="3"/>
      <c r="E18" s="3"/>
    </row>
    <row r="19" spans="1:5" ht="12.75">
      <c r="A19" s="2" t="s">
        <v>47</v>
      </c>
      <c r="C19" s="3"/>
      <c r="D19" s="3"/>
      <c r="E19" s="3"/>
    </row>
    <row r="20" spans="2:5" ht="12.75">
      <c r="B20" t="s">
        <v>40</v>
      </c>
      <c r="C20" s="3"/>
      <c r="D20" s="3">
        <v>250</v>
      </c>
      <c r="E20" s="3">
        <f>IF((C20+D20)&lt;&gt;0,C20-D20,"")</f>
        <v>-250</v>
      </c>
    </row>
    <row r="21" spans="2:5" ht="12.75">
      <c r="B21" t="s">
        <v>41</v>
      </c>
      <c r="C21" s="3"/>
      <c r="D21" s="3">
        <v>425</v>
      </c>
      <c r="E21" s="3">
        <f aca="true" t="shared" si="1" ref="E21:E36">IF((C21+D21)&lt;&gt;0,C21-D21,"")</f>
        <v>-425</v>
      </c>
    </row>
    <row r="22" spans="2:5" ht="12.75">
      <c r="B22" t="s">
        <v>13</v>
      </c>
      <c r="C22" s="3"/>
      <c r="D22" s="3">
        <f>27.53</f>
        <v>27.53</v>
      </c>
      <c r="E22" s="3">
        <f t="shared" si="1"/>
        <v>-27.53</v>
      </c>
    </row>
    <row r="23" spans="2:5" ht="12.75">
      <c r="B23" t="s">
        <v>14</v>
      </c>
      <c r="C23" s="3">
        <v>10.71</v>
      </c>
      <c r="D23" s="3">
        <v>145.24</v>
      </c>
      <c r="E23" s="3">
        <f t="shared" si="1"/>
        <v>-134.53</v>
      </c>
    </row>
    <row r="24" spans="2:5" ht="12.75">
      <c r="B24" t="s">
        <v>11</v>
      </c>
      <c r="C24" s="3"/>
      <c r="D24" s="3">
        <v>140.87</v>
      </c>
      <c r="E24" s="3">
        <f t="shared" si="1"/>
        <v>-140.87</v>
      </c>
    </row>
    <row r="25" spans="2:5" ht="12.75">
      <c r="B25" t="s">
        <v>15</v>
      </c>
      <c r="C25" s="3">
        <f>15</f>
        <v>15</v>
      </c>
      <c r="D25" s="3">
        <f>40.19+30</f>
        <v>70.19</v>
      </c>
      <c r="E25" s="3">
        <f t="shared" si="1"/>
        <v>-55.19</v>
      </c>
    </row>
    <row r="26" spans="2:5" ht="12.75">
      <c r="B26" t="s">
        <v>16</v>
      </c>
      <c r="C26" s="3"/>
      <c r="D26" s="3">
        <v>24.04</v>
      </c>
      <c r="E26" s="3">
        <f t="shared" si="1"/>
        <v>-24.04</v>
      </c>
    </row>
    <row r="27" spans="2:5" ht="12.75">
      <c r="B27" t="s">
        <v>24</v>
      </c>
      <c r="C27" s="3">
        <v>160</v>
      </c>
      <c r="D27" s="3">
        <v>288</v>
      </c>
      <c r="E27" s="3">
        <f t="shared" si="1"/>
        <v>-128</v>
      </c>
    </row>
    <row r="28" spans="2:5" ht="12.75">
      <c r="B28" t="s">
        <v>18</v>
      </c>
      <c r="C28" s="3"/>
      <c r="D28" s="3">
        <f>80.35+37.91+8.88+82.52+105.21+38.1</f>
        <v>352.96999999999997</v>
      </c>
      <c r="E28" s="3">
        <f t="shared" si="1"/>
        <v>-352.96999999999997</v>
      </c>
    </row>
    <row r="29" spans="2:5" ht="12.75">
      <c r="B29" t="s">
        <v>21</v>
      </c>
      <c r="C29" s="3"/>
      <c r="D29" s="3">
        <v>500</v>
      </c>
      <c r="E29" s="3">
        <f t="shared" si="1"/>
        <v>-500</v>
      </c>
    </row>
    <row r="30" spans="2:5" ht="12.75">
      <c r="B30" t="s">
        <v>23</v>
      </c>
      <c r="C30" s="3"/>
      <c r="D30" s="3">
        <f>252+134+155+271+161+45</f>
        <v>1018</v>
      </c>
      <c r="E30" s="3">
        <f t="shared" si="1"/>
        <v>-1018</v>
      </c>
    </row>
    <row r="31" spans="2:5" ht="12.75">
      <c r="B31" t="s">
        <v>3</v>
      </c>
      <c r="C31" s="3">
        <v>200</v>
      </c>
      <c r="D31" s="3">
        <f>140.82+701.5+88.86+117.83+141.16+97.74+26.33+35.69+45.99+81.22+570+39.96+38.87+5.59+15.09+72.45</f>
        <v>2219.1</v>
      </c>
      <c r="E31" s="3">
        <f t="shared" si="1"/>
        <v>-2019.1</v>
      </c>
    </row>
    <row r="32" spans="2:5" ht="12.75">
      <c r="B32" t="s">
        <v>6</v>
      </c>
      <c r="C32" s="3">
        <v>3</v>
      </c>
      <c r="D32" s="3">
        <f>18.2+10.95+12.04+10.91+1.5+0.75+2.25+0.75+1.5+3.75+3+0.75+6.75+43.57</f>
        <v>116.66999999999999</v>
      </c>
      <c r="E32" s="3">
        <f t="shared" si="1"/>
        <v>-113.66999999999999</v>
      </c>
    </row>
    <row r="33" spans="2:5" ht="12.75">
      <c r="B33" t="s">
        <v>25</v>
      </c>
      <c r="C33" s="3"/>
      <c r="D33" s="3">
        <f>58.03+16.06+14.94+103.26+14.42+43.62+25.29+100</f>
        <v>375.62</v>
      </c>
      <c r="E33" s="3">
        <f t="shared" si="1"/>
        <v>-375.62</v>
      </c>
    </row>
    <row r="34" spans="2:5" ht="12.75">
      <c r="B34" t="s">
        <v>31</v>
      </c>
      <c r="C34" s="3">
        <v>15</v>
      </c>
      <c r="D34" s="3">
        <f>2*110+10*95</f>
        <v>1170</v>
      </c>
      <c r="E34" s="3">
        <f t="shared" si="1"/>
        <v>-1155</v>
      </c>
    </row>
    <row r="35" spans="2:5" ht="12.75">
      <c r="B35" t="s">
        <v>32</v>
      </c>
      <c r="C35" s="3"/>
      <c r="D35" s="3">
        <f>3135+3+4505.3-D34</f>
        <v>6473.3</v>
      </c>
      <c r="E35" s="3">
        <f t="shared" si="1"/>
        <v>-6473.3</v>
      </c>
    </row>
    <row r="36" spans="2:5" ht="12.75">
      <c r="B36" t="s">
        <v>10</v>
      </c>
      <c r="C36" s="3">
        <f>551+126+6+10.34</f>
        <v>693.34</v>
      </c>
      <c r="D36" s="3">
        <f>604.89+18.38+28.33</f>
        <v>651.6</v>
      </c>
      <c r="E36" s="3">
        <f t="shared" si="1"/>
        <v>41.74000000000001</v>
      </c>
    </row>
    <row r="37" spans="2:5" ht="12.75">
      <c r="B37" s="2" t="s">
        <v>9</v>
      </c>
      <c r="C37" s="3"/>
      <c r="D37" s="3"/>
      <c r="E37" s="4">
        <f>SUM(E20:E36)</f>
        <v>-13151.08</v>
      </c>
    </row>
    <row r="38" spans="3:5" ht="12.75">
      <c r="C38" s="3"/>
      <c r="D38" s="3"/>
      <c r="E38" s="3"/>
    </row>
    <row r="39" spans="1:5" ht="12.75">
      <c r="A39" s="2" t="s">
        <v>4</v>
      </c>
      <c r="C39" s="4"/>
      <c r="D39" s="4"/>
      <c r="E39" s="4">
        <f>E17+E37</f>
        <v>4120.460000000001</v>
      </c>
    </row>
    <row r="41" spans="1:3" ht="12.75">
      <c r="A41" s="2" t="s">
        <v>29</v>
      </c>
      <c r="C41" s="4">
        <v>1630.07</v>
      </c>
    </row>
    <row r="42" spans="1:3" ht="12.75">
      <c r="A42" s="2"/>
      <c r="C42" s="4"/>
    </row>
    <row r="43" spans="1:3" ht="12.75">
      <c r="A43" s="2" t="s">
        <v>17</v>
      </c>
      <c r="B43" s="2"/>
      <c r="C43" s="4">
        <v>16817.53</v>
      </c>
    </row>
    <row r="44" spans="2:7" ht="12.75">
      <c r="B44" t="s">
        <v>30</v>
      </c>
      <c r="C44" s="3">
        <v>-11480</v>
      </c>
      <c r="G44" s="3"/>
    </row>
    <row r="45" spans="2:7" ht="12.75">
      <c r="B45" t="s">
        <v>35</v>
      </c>
      <c r="C45" s="3">
        <f>-(1440+1787)-C46-C47</f>
        <v>-2477</v>
      </c>
      <c r="G45" s="3"/>
    </row>
    <row r="46" spans="2:7" ht="12.75">
      <c r="B46" t="s">
        <v>33</v>
      </c>
      <c r="C46" s="3">
        <v>-360</v>
      </c>
      <c r="G46" s="3"/>
    </row>
    <row r="47" spans="2:7" ht="12.75">
      <c r="B47" t="s">
        <v>34</v>
      </c>
      <c r="C47" s="3">
        <v>-390</v>
      </c>
      <c r="G47" s="3"/>
    </row>
    <row r="48" spans="2:7" ht="12.75">
      <c r="B48" t="s">
        <v>37</v>
      </c>
      <c r="C48" s="3">
        <v>1050</v>
      </c>
      <c r="G48" s="3"/>
    </row>
    <row r="49" spans="2:7" ht="12.75">
      <c r="B49" t="s">
        <v>36</v>
      </c>
      <c r="C49" s="5">
        <f>3390-C48</f>
        <v>2340</v>
      </c>
      <c r="G49" s="5"/>
    </row>
    <row r="50" spans="2:7" ht="12.75">
      <c r="B50" t="s">
        <v>42</v>
      </c>
      <c r="C50" s="5">
        <v>250</v>
      </c>
      <c r="G50" s="5"/>
    </row>
    <row r="51" spans="1:3" ht="12.75">
      <c r="A51" s="2" t="s">
        <v>27</v>
      </c>
      <c r="B51" s="2"/>
      <c r="C51" s="4">
        <f>SUM(C43:C50)</f>
        <v>5750.529999999999</v>
      </c>
    </row>
    <row r="53" spans="1:3" ht="12.75">
      <c r="A53" s="2" t="s">
        <v>28</v>
      </c>
      <c r="B53" s="2"/>
      <c r="C53" s="4">
        <f>C51-C41</f>
        <v>4120.459999999999</v>
      </c>
    </row>
    <row r="55" ht="12.75">
      <c r="A55" s="2" t="s">
        <v>43</v>
      </c>
    </row>
    <row r="56" spans="2:3" ht="12.75">
      <c r="B56" t="s">
        <v>44</v>
      </c>
      <c r="C56" s="5">
        <v>63.92</v>
      </c>
    </row>
    <row r="57" spans="2:3" ht="12.75">
      <c r="B57" t="s">
        <v>45</v>
      </c>
      <c r="C57" s="5">
        <v>239.01</v>
      </c>
    </row>
    <row r="58" spans="2:3" ht="12.75">
      <c r="B58" t="s">
        <v>46</v>
      </c>
      <c r="C58" s="5">
        <v>232.17</v>
      </c>
    </row>
    <row r="60" spans="1:3" ht="12.75">
      <c r="A60" s="2" t="s">
        <v>48</v>
      </c>
      <c r="B60" s="2"/>
      <c r="C60" s="4">
        <f>28.33+400</f>
        <v>428.33</v>
      </c>
    </row>
  </sheetData>
  <printOptions horizontalCentered="1"/>
  <pageMargins left="0.75" right="0.75" top="1.23" bottom="0.49" header="0.5" footer="0.5"/>
  <pageSetup fitToHeight="1" fitToWidth="1" horizontalDpi="600" verticalDpi="600" orientation="portrait" scale="90" r:id="rId1"/>
  <headerFooter alignWithMargins="0">
    <oddHeader>&amp;L&amp;"Arial,Bold"&amp;14 &amp;C&amp;"Arial,Bold"&amp;14 1&amp;Xst&amp;X Merrickville Scout Group Financial Statement
September 2005 to August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2008-03-25T03:42:08Z</cp:lastPrinted>
  <dcterms:created xsi:type="dcterms:W3CDTF">2002-03-30T21:03:26Z</dcterms:created>
  <dcterms:modified xsi:type="dcterms:W3CDTF">2008-03-26T23:30:30Z</dcterms:modified>
  <cp:category/>
  <cp:version/>
  <cp:contentType/>
  <cp:contentStatus/>
</cp:coreProperties>
</file>