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030" windowHeight="4620" activeTab="0"/>
  </bookViews>
  <sheets>
    <sheet name="Financial" sheetId="1" r:id="rId1"/>
    <sheet name="Attendance" sheetId="2" r:id="rId2"/>
  </sheets>
  <definedNames/>
  <calcPr fullCalcOnLoad="1"/>
</workbook>
</file>

<file path=xl/sharedStrings.xml><?xml version="1.0" encoding="utf-8"?>
<sst xmlns="http://schemas.openxmlformats.org/spreadsheetml/2006/main" count="69" uniqueCount="60">
  <si>
    <t>Item</t>
  </si>
  <si>
    <t>Budget</t>
  </si>
  <si>
    <t>Actual</t>
  </si>
  <si>
    <t>Revenue</t>
  </si>
  <si>
    <t>Expense</t>
  </si>
  <si>
    <t>Crests</t>
  </si>
  <si>
    <t>Total</t>
  </si>
  <si>
    <t>Community Centre Rental</t>
  </si>
  <si>
    <t>Registration</t>
  </si>
  <si>
    <t>Registration Fee</t>
  </si>
  <si>
    <t>Beavers</t>
  </si>
  <si>
    <t>Cubs</t>
  </si>
  <si>
    <t>Scouts</t>
  </si>
  <si>
    <t>Section Registration</t>
  </si>
  <si>
    <t>Crest Cost</t>
  </si>
  <si>
    <t>Crest shipping</t>
  </si>
  <si>
    <t>Estimated</t>
  </si>
  <si>
    <t>1/2/3 Fastest 18 Wheeler Pins</t>
  </si>
  <si>
    <t>1/2/3 Best Design Kub Kar Pins</t>
  </si>
  <si>
    <t>1/2/3 Fastest Kub Kar Pins</t>
  </si>
  <si>
    <t>1/2/3 Best Design 18 Wheeler Pins</t>
  </si>
  <si>
    <t>Postage</t>
  </si>
  <si>
    <t>Fastest Troop Trophy</t>
  </si>
  <si>
    <t>18 Wheeler kit for spare parts</t>
  </si>
  <si>
    <t>Number of crests ordered</t>
  </si>
  <si>
    <t>Fun event materials</t>
  </si>
  <si>
    <t>Numbered Labels</t>
  </si>
  <si>
    <t>Trophy engraving</t>
  </si>
  <si>
    <t>Racing Trophies</t>
  </si>
  <si>
    <t>Hobby Trophies</t>
  </si>
  <si>
    <t>Profit (Loss)</t>
  </si>
  <si>
    <t>Foam for ramp jump event</t>
  </si>
  <si>
    <t>Plywood for sling shot event</t>
  </si>
  <si>
    <t>Sheet vinyl for fun events</t>
  </si>
  <si>
    <t>Crests for thankyou to Burlington</t>
  </si>
  <si>
    <t>Foam for sling shot event</t>
  </si>
  <si>
    <t>Handle for sling shot event</t>
  </si>
  <si>
    <t>Helium balloons</t>
  </si>
  <si>
    <t>Gaffer's tape</t>
  </si>
  <si>
    <t>Group/Section</t>
  </si>
  <si>
    <t>Colony</t>
  </si>
  <si>
    <t>Pack</t>
  </si>
  <si>
    <t>Troop</t>
  </si>
  <si>
    <t>1st Packenham</t>
  </si>
  <si>
    <t>1st Merrickville</t>
  </si>
  <si>
    <t>3rd Carleton Place</t>
  </si>
  <si>
    <t>2nd Carleton Place</t>
  </si>
  <si>
    <t>1st Beckwith</t>
  </si>
  <si>
    <t>2nd Smiths Falls</t>
  </si>
  <si>
    <t>Operations</t>
  </si>
  <si>
    <t>Capital</t>
  </si>
  <si>
    <t>1st Drummond</t>
  </si>
  <si>
    <t>1st Montague</t>
  </si>
  <si>
    <t>2nd Almonte</t>
  </si>
  <si>
    <t>Expected</t>
  </si>
  <si>
    <t>Registration missing:</t>
  </si>
  <si>
    <t>Hobby 2nd/3rd trophies</t>
  </si>
  <si>
    <t>Actual Expense</t>
  </si>
  <si>
    <t>Colonyl Byte certificate printing</t>
  </si>
  <si>
    <t>Contribution from area for capital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</si>
</sst>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164" fontId="0" fillId="0" borderId="8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7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7" fontId="1" fillId="0" borderId="26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" xfId="0" applyBorder="1" applyAlignment="1">
      <alignment/>
    </xf>
    <xf numFmtId="7" fontId="0" fillId="0" borderId="29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30" xfId="0" applyFont="1" applyFill="1" applyBorder="1" applyAlignment="1">
      <alignment horizontal="center"/>
    </xf>
    <xf numFmtId="164" fontId="1" fillId="0" borderId="28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164" fontId="1" fillId="0" borderId="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center"/>
    </xf>
    <xf numFmtId="7" fontId="0" fillId="0" borderId="13" xfId="0" applyNumberFormat="1" applyBorder="1" applyAlignment="1">
      <alignment/>
    </xf>
    <xf numFmtId="7" fontId="0" fillId="0" borderId="14" xfId="0" applyNumberFormat="1" applyBorder="1" applyAlignment="1">
      <alignment/>
    </xf>
    <xf numFmtId="7" fontId="1" fillId="0" borderId="25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A9" sqref="A9"/>
    </sheetView>
  </sheetViews>
  <sheetFormatPr defaultColWidth="9.140625" defaultRowHeight="12.75"/>
  <cols>
    <col min="1" max="1" width="30.8515625" style="0" bestFit="1" customWidth="1"/>
    <col min="2" max="2" width="9.8515625" style="0" bestFit="1" customWidth="1"/>
    <col min="4" max="4" width="11.8515625" style="0" bestFit="1" customWidth="1"/>
    <col min="6" max="6" width="9.7109375" style="0" bestFit="1" customWidth="1"/>
    <col min="7" max="7" width="8.7109375" style="0" bestFit="1" customWidth="1"/>
    <col min="8" max="8" width="10.8515625" style="0" bestFit="1" customWidth="1"/>
    <col min="9" max="9" width="7.421875" style="0" bestFit="1" customWidth="1"/>
  </cols>
  <sheetData>
    <row r="1" spans="1:9" ht="12.75">
      <c r="A1" s="21"/>
      <c r="B1" s="55" t="s">
        <v>3</v>
      </c>
      <c r="C1" s="56"/>
      <c r="D1" s="57" t="s">
        <v>4</v>
      </c>
      <c r="E1" s="56"/>
      <c r="F1" s="58" t="s">
        <v>30</v>
      </c>
      <c r="G1" s="59"/>
      <c r="H1" s="55" t="s">
        <v>57</v>
      </c>
      <c r="I1" s="60"/>
    </row>
    <row r="2" spans="1:9" ht="12.75">
      <c r="A2" s="20" t="s">
        <v>0</v>
      </c>
      <c r="B2" s="10" t="s">
        <v>1</v>
      </c>
      <c r="C2" s="15" t="s">
        <v>2</v>
      </c>
      <c r="D2" s="18" t="s">
        <v>1</v>
      </c>
      <c r="E2" s="15" t="s">
        <v>2</v>
      </c>
      <c r="F2" s="18" t="s">
        <v>1</v>
      </c>
      <c r="G2" s="15" t="s">
        <v>2</v>
      </c>
      <c r="H2" s="51" t="s">
        <v>49</v>
      </c>
      <c r="I2" s="44" t="s">
        <v>50</v>
      </c>
    </row>
    <row r="3" spans="1:9" ht="12.75">
      <c r="A3" s="13" t="s">
        <v>5</v>
      </c>
      <c r="B3" s="11">
        <v>20</v>
      </c>
      <c r="C3" s="16">
        <f>26+8</f>
        <v>34</v>
      </c>
      <c r="D3" s="11">
        <f>B35*B34</f>
        <v>431.25</v>
      </c>
      <c r="E3" s="16">
        <v>431.25</v>
      </c>
      <c r="F3" s="42">
        <f aca="true" t="shared" si="0" ref="F3:G16">IF(B3&lt;&gt;"",B3-D3,IF(D3&lt;&gt;"",B3-D3,""))</f>
        <v>-411.25</v>
      </c>
      <c r="G3" s="52">
        <f t="shared" si="0"/>
        <v>-397.25</v>
      </c>
      <c r="H3" s="11">
        <f>E3</f>
        <v>431.25</v>
      </c>
      <c r="I3" s="43"/>
    </row>
    <row r="4" spans="1:9" ht="12.75">
      <c r="A4" s="14" t="s">
        <v>15</v>
      </c>
      <c r="B4" s="12"/>
      <c r="C4" s="17"/>
      <c r="D4" s="12">
        <v>15</v>
      </c>
      <c r="E4" s="17">
        <f>12.5*1.15</f>
        <v>14.374999999999998</v>
      </c>
      <c r="F4" s="19">
        <f t="shared" si="0"/>
        <v>-15</v>
      </c>
      <c r="G4" s="53">
        <f t="shared" si="0"/>
        <v>-14.374999999999998</v>
      </c>
      <c r="H4" s="12">
        <f>E4</f>
        <v>14.374999999999998</v>
      </c>
      <c r="I4" s="41"/>
    </row>
    <row r="5" spans="1:9" ht="12.75">
      <c r="A5" s="14" t="s">
        <v>7</v>
      </c>
      <c r="B5" s="12"/>
      <c r="C5" s="17"/>
      <c r="D5" s="12">
        <v>100</v>
      </c>
      <c r="E5" s="17">
        <v>107</v>
      </c>
      <c r="F5" s="19">
        <f t="shared" si="0"/>
        <v>-100</v>
      </c>
      <c r="G5" s="53">
        <f t="shared" si="0"/>
        <v>-107</v>
      </c>
      <c r="H5" s="12">
        <f>E5</f>
        <v>107</v>
      </c>
      <c r="I5" s="41"/>
    </row>
    <row r="6" spans="1:9" ht="12.75">
      <c r="A6" s="14" t="s">
        <v>8</v>
      </c>
      <c r="B6" s="12">
        <f>B33*B41</f>
        <v>1150</v>
      </c>
      <c r="C6" s="17">
        <f>240+454.85+35+10</f>
        <v>739.85</v>
      </c>
      <c r="D6" s="12"/>
      <c r="E6" s="17"/>
      <c r="F6" s="19">
        <f>IF(B6&lt;&gt;"",B6-D6,IF(D6&lt;&gt;"",B6-D6,""))</f>
        <v>1150</v>
      </c>
      <c r="G6" s="53">
        <f t="shared" si="0"/>
        <v>739.85</v>
      </c>
      <c r="H6" s="2"/>
      <c r="I6" s="41"/>
    </row>
    <row r="7" spans="1:9" ht="12.75">
      <c r="A7" s="14" t="s">
        <v>28</v>
      </c>
      <c r="B7" s="12"/>
      <c r="C7" s="17"/>
      <c r="D7" s="12">
        <f>4.99*1.15*2+6.99*1.15*2</f>
        <v>27.554</v>
      </c>
      <c r="E7" s="17">
        <v>27.55</v>
      </c>
      <c r="F7" s="19">
        <f aca="true" t="shared" si="1" ref="F7:F16">IF(B7&lt;&gt;"",B7-D7,IF(D7&lt;&gt;"",B7-D7,""))</f>
        <v>-27.554</v>
      </c>
      <c r="G7" s="53">
        <f t="shared" si="0"/>
        <v>-27.55</v>
      </c>
      <c r="H7" s="12">
        <f aca="true" t="shared" si="2" ref="H7:H14">E7</f>
        <v>27.55</v>
      </c>
      <c r="I7" s="41"/>
    </row>
    <row r="8" spans="1:9" ht="12.75">
      <c r="A8" s="14" t="s">
        <v>29</v>
      </c>
      <c r="B8" s="12"/>
      <c r="C8" s="17"/>
      <c r="D8" s="12">
        <f>9*3</f>
        <v>27</v>
      </c>
      <c r="E8" s="17">
        <f>6.95*3*1.15*3</f>
        <v>71.9325</v>
      </c>
      <c r="F8" s="19">
        <f>IF(B8&lt;&gt;"",B8-D8,IF(D8&lt;&gt;"",B8-D8,""))</f>
        <v>-27</v>
      </c>
      <c r="G8" s="53">
        <f>IF(C8&lt;&gt;"",C8-E8,IF(E8&lt;&gt;"",C8-E8,""))</f>
        <v>-71.9325</v>
      </c>
      <c r="H8" s="12">
        <f t="shared" si="2"/>
        <v>71.9325</v>
      </c>
      <c r="I8" s="41"/>
    </row>
    <row r="9" spans="1:9" ht="12.75">
      <c r="A9" s="14" t="s">
        <v>27</v>
      </c>
      <c r="B9" s="12"/>
      <c r="C9" s="17"/>
      <c r="D9" s="12">
        <v>50</v>
      </c>
      <c r="E9" s="17">
        <f>(4.4+15.8+4)*1.15</f>
        <v>27.830000000000002</v>
      </c>
      <c r="F9" s="19">
        <f t="shared" si="1"/>
        <v>-50</v>
      </c>
      <c r="G9" s="53">
        <f t="shared" si="0"/>
        <v>-27.830000000000002</v>
      </c>
      <c r="H9" s="12">
        <f t="shared" si="2"/>
        <v>27.830000000000002</v>
      </c>
      <c r="I9" s="41"/>
    </row>
    <row r="10" spans="1:9" ht="12.75">
      <c r="A10" s="14" t="s">
        <v>19</v>
      </c>
      <c r="B10" s="12"/>
      <c r="C10" s="17"/>
      <c r="D10" s="12">
        <f>3*1.99*1.15</f>
        <v>6.865499999999999</v>
      </c>
      <c r="E10" s="17">
        <f>3*1.99*1.15</f>
        <v>6.865499999999999</v>
      </c>
      <c r="F10" s="19">
        <f t="shared" si="1"/>
        <v>-6.865499999999999</v>
      </c>
      <c r="G10" s="53">
        <f t="shared" si="0"/>
        <v>-6.865499999999999</v>
      </c>
      <c r="H10" s="12">
        <f t="shared" si="2"/>
        <v>6.865499999999999</v>
      </c>
      <c r="I10" s="41"/>
    </row>
    <row r="11" spans="1:9" ht="12.75">
      <c r="A11" s="14" t="s">
        <v>18</v>
      </c>
      <c r="B11" s="12"/>
      <c r="C11" s="17"/>
      <c r="D11" s="12">
        <f aca="true" t="shared" si="3" ref="D11:E13">3*1.99*1.15</f>
        <v>6.865499999999999</v>
      </c>
      <c r="E11" s="17">
        <f t="shared" si="3"/>
        <v>6.865499999999999</v>
      </c>
      <c r="F11" s="19">
        <f t="shared" si="1"/>
        <v>-6.865499999999999</v>
      </c>
      <c r="G11" s="53">
        <f t="shared" si="0"/>
        <v>-6.865499999999999</v>
      </c>
      <c r="H11" s="12">
        <f t="shared" si="2"/>
        <v>6.865499999999999</v>
      </c>
      <c r="I11" s="41"/>
    </row>
    <row r="12" spans="1:9" ht="12.75">
      <c r="A12" s="14" t="s">
        <v>17</v>
      </c>
      <c r="B12" s="12"/>
      <c r="C12" s="17"/>
      <c r="D12" s="12">
        <f t="shared" si="3"/>
        <v>6.865499999999999</v>
      </c>
      <c r="E12" s="17">
        <f t="shared" si="3"/>
        <v>6.865499999999999</v>
      </c>
      <c r="F12" s="19">
        <f t="shared" si="1"/>
        <v>-6.865499999999999</v>
      </c>
      <c r="G12" s="53">
        <f t="shared" si="0"/>
        <v>-6.865499999999999</v>
      </c>
      <c r="H12" s="12">
        <f t="shared" si="2"/>
        <v>6.865499999999999</v>
      </c>
      <c r="I12" s="41"/>
    </row>
    <row r="13" spans="1:9" ht="12.75">
      <c r="A13" s="14" t="s">
        <v>20</v>
      </c>
      <c r="B13" s="12"/>
      <c r="C13" s="17"/>
      <c r="D13" s="12">
        <f t="shared" si="3"/>
        <v>6.865499999999999</v>
      </c>
      <c r="E13" s="17">
        <f t="shared" si="3"/>
        <v>6.865499999999999</v>
      </c>
      <c r="F13" s="19">
        <f t="shared" si="1"/>
        <v>-6.865499999999999</v>
      </c>
      <c r="G13" s="53">
        <f t="shared" si="0"/>
        <v>-6.865499999999999</v>
      </c>
      <c r="H13" s="12">
        <f t="shared" si="2"/>
        <v>6.865499999999999</v>
      </c>
      <c r="I13" s="41"/>
    </row>
    <row r="14" spans="1:9" ht="12.75">
      <c r="A14" s="14" t="s">
        <v>21</v>
      </c>
      <c r="B14" s="12"/>
      <c r="C14" s="17"/>
      <c r="D14" s="12">
        <v>20</v>
      </c>
      <c r="E14" s="17">
        <f>0.49*5*1.07</f>
        <v>2.6215</v>
      </c>
      <c r="F14" s="19">
        <f t="shared" si="1"/>
        <v>-20</v>
      </c>
      <c r="G14" s="53">
        <f t="shared" si="0"/>
        <v>-2.6215</v>
      </c>
      <c r="H14" s="12">
        <f t="shared" si="2"/>
        <v>2.6215</v>
      </c>
      <c r="I14" s="41"/>
    </row>
    <row r="15" spans="1:9" ht="12.75">
      <c r="A15" s="14" t="s">
        <v>22</v>
      </c>
      <c r="B15" s="12"/>
      <c r="C15" s="17"/>
      <c r="D15" s="12">
        <v>50</v>
      </c>
      <c r="E15" s="17">
        <f>(73.95+10)*1.15</f>
        <v>96.54249999999999</v>
      </c>
      <c r="F15" s="19">
        <f t="shared" si="1"/>
        <v>-50</v>
      </c>
      <c r="G15" s="53">
        <f t="shared" si="0"/>
        <v>-96.54249999999999</v>
      </c>
      <c r="H15" s="12"/>
      <c r="I15" s="3">
        <f>E15</f>
        <v>96.54249999999999</v>
      </c>
    </row>
    <row r="16" spans="1:9" ht="12.75">
      <c r="A16" s="14" t="s">
        <v>23</v>
      </c>
      <c r="B16" s="12"/>
      <c r="C16" s="17"/>
      <c r="D16" s="12">
        <f>9.99*1.15</f>
        <v>11.4885</v>
      </c>
      <c r="E16" s="17">
        <f>9.99*1.15</f>
        <v>11.4885</v>
      </c>
      <c r="F16" s="19">
        <f t="shared" si="1"/>
        <v>-11.4885</v>
      </c>
      <c r="G16" s="53">
        <f t="shared" si="0"/>
        <v>-11.4885</v>
      </c>
      <c r="H16" s="2"/>
      <c r="I16" s="3">
        <f>E16</f>
        <v>11.4885</v>
      </c>
    </row>
    <row r="17" spans="1:9" ht="12.75">
      <c r="A17" s="14" t="s">
        <v>25</v>
      </c>
      <c r="B17" s="12"/>
      <c r="C17" s="17"/>
      <c r="D17" s="12">
        <v>200</v>
      </c>
      <c r="E17" s="17"/>
      <c r="F17" s="19">
        <f>IF(B17&lt;&gt;"",B17-D17,IF(D17&lt;&gt;"",B17-D17,""))</f>
        <v>-200</v>
      </c>
      <c r="G17" s="53">
        <f aca="true" t="shared" si="4" ref="G17:G30">IF(C17&lt;&gt;"",C17-E17,IF(E17&lt;&gt;"",C17-E17,""))</f>
      </c>
      <c r="H17" s="2"/>
      <c r="I17" s="41"/>
    </row>
    <row r="18" spans="1:9" ht="12.75">
      <c r="A18" s="14" t="s">
        <v>31</v>
      </c>
      <c r="B18" s="12"/>
      <c r="C18" s="17"/>
      <c r="D18" s="12"/>
      <c r="E18" s="17">
        <v>82.75</v>
      </c>
      <c r="F18" s="19">
        <f>IF(B18&lt;&gt;"",B18-D18,IF(D18&lt;&gt;"",B18-D18,""))</f>
      </c>
      <c r="G18" s="53">
        <f t="shared" si="4"/>
        <v>-82.75</v>
      </c>
      <c r="H18" s="2"/>
      <c r="I18" s="3">
        <f>E18</f>
        <v>82.75</v>
      </c>
    </row>
    <row r="19" spans="1:9" ht="12.75">
      <c r="A19" s="14" t="s">
        <v>32</v>
      </c>
      <c r="B19" s="12"/>
      <c r="C19" s="17"/>
      <c r="D19" s="12"/>
      <c r="E19" s="17">
        <f>39.9*1.15</f>
        <v>45.885</v>
      </c>
      <c r="F19" s="19">
        <f>IF(B19&lt;&gt;"",B19-D19,IF(D19&lt;&gt;"",B19-D19,""))</f>
      </c>
      <c r="G19" s="53">
        <f t="shared" si="4"/>
        <v>-45.885</v>
      </c>
      <c r="H19" s="2"/>
      <c r="I19" s="3">
        <f>E19</f>
        <v>45.885</v>
      </c>
    </row>
    <row r="20" spans="1:9" ht="12.75">
      <c r="A20" s="14" t="s">
        <v>35</v>
      </c>
      <c r="B20" s="12"/>
      <c r="C20" s="17"/>
      <c r="D20" s="12"/>
      <c r="E20" s="17">
        <v>39.05</v>
      </c>
      <c r="F20" s="19"/>
      <c r="G20" s="53">
        <f t="shared" si="4"/>
        <v>-39.05</v>
      </c>
      <c r="H20" s="2"/>
      <c r="I20" s="3">
        <f>E20</f>
        <v>39.05</v>
      </c>
    </row>
    <row r="21" spans="1:9" ht="12.75">
      <c r="A21" s="14" t="s">
        <v>36</v>
      </c>
      <c r="B21" s="12"/>
      <c r="C21" s="17"/>
      <c r="D21" s="12"/>
      <c r="E21" s="17">
        <f>4.35*1.35</f>
        <v>5.8725</v>
      </c>
      <c r="F21" s="19"/>
      <c r="G21" s="53">
        <f t="shared" si="4"/>
        <v>-5.8725</v>
      </c>
      <c r="H21" s="2"/>
      <c r="I21" s="3">
        <f>E21</f>
        <v>5.8725</v>
      </c>
    </row>
    <row r="22" spans="1:9" ht="12.75">
      <c r="A22" s="14" t="s">
        <v>37</v>
      </c>
      <c r="B22" s="12"/>
      <c r="C22" s="17"/>
      <c r="D22" s="12"/>
      <c r="E22" s="17">
        <f>56.93</f>
        <v>56.93</v>
      </c>
      <c r="F22" s="19"/>
      <c r="G22" s="53">
        <f t="shared" si="4"/>
        <v>-56.93</v>
      </c>
      <c r="H22" s="12">
        <f>E22</f>
        <v>56.93</v>
      </c>
      <c r="I22" s="3"/>
    </row>
    <row r="23" spans="1:9" ht="12.75">
      <c r="A23" s="14" t="s">
        <v>38</v>
      </c>
      <c r="B23" s="12"/>
      <c r="C23" s="17"/>
      <c r="D23" s="12"/>
      <c r="E23" s="17">
        <f>27.03</f>
        <v>27.03</v>
      </c>
      <c r="F23" s="19"/>
      <c r="G23" s="53">
        <f t="shared" si="4"/>
        <v>-27.03</v>
      </c>
      <c r="H23" s="12">
        <f>E23</f>
        <v>27.03</v>
      </c>
      <c r="I23" s="3"/>
    </row>
    <row r="24" spans="1:9" ht="12.75">
      <c r="A24" s="14" t="s">
        <v>56</v>
      </c>
      <c r="B24" s="12"/>
      <c r="C24" s="17"/>
      <c r="D24" s="12"/>
      <c r="E24" s="17">
        <f>(3.95+1)*1.15*6</f>
        <v>34.155</v>
      </c>
      <c r="F24" s="19"/>
      <c r="G24" s="53">
        <f t="shared" si="4"/>
        <v>-34.155</v>
      </c>
      <c r="H24" s="12">
        <f>E24</f>
        <v>34.155</v>
      </c>
      <c r="I24" s="41"/>
    </row>
    <row r="25" spans="1:9" ht="12.75">
      <c r="A25" s="14" t="s">
        <v>33</v>
      </c>
      <c r="B25" s="12"/>
      <c r="C25" s="17"/>
      <c r="D25" s="12"/>
      <c r="E25" s="17">
        <f>68.11</f>
        <v>68.11</v>
      </c>
      <c r="F25" s="19"/>
      <c r="G25" s="53">
        <f t="shared" si="4"/>
        <v>-68.11</v>
      </c>
      <c r="H25" s="12"/>
      <c r="I25" s="3">
        <f>E25</f>
        <v>68.11</v>
      </c>
    </row>
    <row r="26" spans="1:9" ht="12.75">
      <c r="A26" s="14" t="s">
        <v>33</v>
      </c>
      <c r="B26" s="12"/>
      <c r="C26" s="17"/>
      <c r="D26" s="12"/>
      <c r="E26" s="17">
        <f>126.83</f>
        <v>126.83</v>
      </c>
      <c r="F26" s="19"/>
      <c r="G26" s="53">
        <f t="shared" si="4"/>
        <v>-126.83</v>
      </c>
      <c r="H26" s="2"/>
      <c r="I26" s="3">
        <f>E26</f>
        <v>126.83</v>
      </c>
    </row>
    <row r="27" spans="1:9" ht="12.75">
      <c r="A27" s="14" t="s">
        <v>26</v>
      </c>
      <c r="B27" s="12"/>
      <c r="C27" s="17"/>
      <c r="D27" s="12">
        <f>26.8*1.6</f>
        <v>42.88</v>
      </c>
      <c r="E27" s="12">
        <v>36.92</v>
      </c>
      <c r="F27" s="19">
        <f>IF(B27&lt;&gt;"",B27-D27,IF(D27&lt;&gt;"",B27-D27,""))</f>
        <v>-42.88</v>
      </c>
      <c r="G27" s="53">
        <f>IF(C27&lt;&gt;"",C27-E27,IF(E27&lt;&gt;"",C27-E27,""))</f>
        <v>-36.92</v>
      </c>
      <c r="H27" s="2"/>
      <c r="I27" s="3">
        <f>E27</f>
        <v>36.92</v>
      </c>
    </row>
    <row r="28" spans="1:9" ht="12.75">
      <c r="A28" s="14" t="s">
        <v>34</v>
      </c>
      <c r="B28" s="12"/>
      <c r="C28" s="17"/>
      <c r="D28" s="12"/>
      <c r="E28" s="17">
        <f>1.25+5+1.25</f>
        <v>7.5</v>
      </c>
      <c r="F28" s="19">
        <f>IF(B28&lt;&gt;"",B28-D28,IF(D28&lt;&gt;"",B28-D28,""))</f>
      </c>
      <c r="G28" s="53">
        <f>IF(C28&lt;&gt;"",C28-E28,IF(E28&lt;&gt;"",C28-E28,""))</f>
        <v>-7.5</v>
      </c>
      <c r="H28" s="2"/>
      <c r="I28" s="3">
        <f>E28</f>
        <v>7.5</v>
      </c>
    </row>
    <row r="29" spans="1:9" ht="12.75">
      <c r="A29" s="14" t="s">
        <v>58</v>
      </c>
      <c r="B29" s="12"/>
      <c r="C29" s="17"/>
      <c r="D29" s="12"/>
      <c r="E29" s="17">
        <v>50.62</v>
      </c>
      <c r="F29" s="19"/>
      <c r="G29" s="53"/>
      <c r="H29" s="12">
        <f>E29</f>
        <v>50.62</v>
      </c>
      <c r="I29" s="3"/>
    </row>
    <row r="30" spans="1:9" ht="12.75">
      <c r="A30" s="14" t="s">
        <v>59</v>
      </c>
      <c r="B30" s="12"/>
      <c r="C30" s="17">
        <v>520.92</v>
      </c>
      <c r="D30" s="12"/>
      <c r="E30" s="17"/>
      <c r="F30" s="19">
        <f>IF(B30&lt;&gt;"",B30-D30,IF(D30&lt;&gt;"",B30-D30,""))</f>
      </c>
      <c r="G30" s="53">
        <f t="shared" si="4"/>
        <v>520.92</v>
      </c>
      <c r="H30" s="2"/>
      <c r="I30" s="3"/>
    </row>
    <row r="31" spans="1:9" ht="12.75">
      <c r="A31" s="27" t="s">
        <v>6</v>
      </c>
      <c r="B31" s="28">
        <f>SUM(B3:B30)</f>
        <v>1170</v>
      </c>
      <c r="C31" s="29">
        <f>SUM(C3:C30)</f>
        <v>1294.77</v>
      </c>
      <c r="D31" s="28">
        <f>SUM(D3:D30)</f>
        <v>1002.6345</v>
      </c>
      <c r="E31" s="29">
        <f>SUM(E3:E30)</f>
        <v>1399.7044999999996</v>
      </c>
      <c r="F31" s="30">
        <f>IF(D31&lt;&gt;"",B31-D31,"")</f>
        <v>167.3655</v>
      </c>
      <c r="G31" s="54">
        <f>IF(E31&lt;&gt;"",C31-E31,"")</f>
        <v>-104.93449999999962</v>
      </c>
      <c r="H31" s="28">
        <f>SUM(H3:H30)</f>
        <v>878.7559999999999</v>
      </c>
      <c r="I31" s="45">
        <f>SUM(I3:I30)</f>
        <v>520.9485</v>
      </c>
    </row>
    <row r="32" spans="2:5" ht="12.75">
      <c r="B32" s="1"/>
      <c r="C32" s="1"/>
      <c r="D32" s="1"/>
      <c r="E32" s="1"/>
    </row>
    <row r="33" spans="1:5" ht="12.75">
      <c r="A33" s="5" t="s">
        <v>9</v>
      </c>
      <c r="B33" s="9">
        <v>5</v>
      </c>
      <c r="C33" s="1"/>
      <c r="D33" s="1"/>
      <c r="E33" s="1"/>
    </row>
    <row r="34" spans="1:5" ht="12.75">
      <c r="A34" s="2" t="s">
        <v>14</v>
      </c>
      <c r="B34" s="3">
        <f>1.25*1.15</f>
        <v>1.4375</v>
      </c>
      <c r="C34" s="1"/>
      <c r="D34" s="1"/>
      <c r="E34" s="1"/>
    </row>
    <row r="35" spans="1:5" ht="12.75">
      <c r="A35" s="22" t="s">
        <v>24</v>
      </c>
      <c r="B35" s="23">
        <v>300</v>
      </c>
      <c r="C35" s="1"/>
      <c r="D35" s="1"/>
      <c r="E35" s="1"/>
    </row>
    <row r="36" spans="3:5" ht="12.75">
      <c r="C36" s="1"/>
      <c r="D36" s="49" t="s">
        <v>54</v>
      </c>
      <c r="E36" s="1"/>
    </row>
    <row r="37" spans="1:5" ht="12.75">
      <c r="A37" s="7" t="s">
        <v>13</v>
      </c>
      <c r="B37" s="8" t="s">
        <v>16</v>
      </c>
      <c r="C37" s="47" t="s">
        <v>2</v>
      </c>
      <c r="D37" s="48" t="s">
        <v>8</v>
      </c>
      <c r="E37" s="1"/>
    </row>
    <row r="38" spans="1:5" ht="12.75">
      <c r="A38" s="5" t="s">
        <v>10</v>
      </c>
      <c r="B38" s="6">
        <v>80</v>
      </c>
      <c r="C38" s="6">
        <v>48</v>
      </c>
      <c r="D38" s="9">
        <f>C38*B$33</f>
        <v>240</v>
      </c>
      <c r="E38" s="1"/>
    </row>
    <row r="39" spans="1:5" ht="12.75">
      <c r="A39" s="2" t="s">
        <v>11</v>
      </c>
      <c r="B39" s="4">
        <v>100</v>
      </c>
      <c r="C39" s="4">
        <v>80</v>
      </c>
      <c r="D39" s="3">
        <f>C39*B$33</f>
        <v>400</v>
      </c>
      <c r="E39" s="1"/>
    </row>
    <row r="40" spans="1:5" ht="12.75">
      <c r="A40" s="22" t="s">
        <v>12</v>
      </c>
      <c r="B40" s="24">
        <v>50</v>
      </c>
      <c r="C40" s="24">
        <v>22</v>
      </c>
      <c r="D40" s="46">
        <f>C40*B$33</f>
        <v>110</v>
      </c>
      <c r="E40" s="1"/>
    </row>
    <row r="41" spans="1:5" ht="12.75">
      <c r="A41" s="25" t="s">
        <v>6</v>
      </c>
      <c r="B41" s="26">
        <f>SUM(B38:B40)</f>
        <v>230</v>
      </c>
      <c r="C41" s="26">
        <f>SUM(C38:C40)</f>
        <v>150</v>
      </c>
      <c r="D41" s="45">
        <f>SUM(D38:D40)</f>
        <v>750</v>
      </c>
      <c r="E41" s="1"/>
    </row>
    <row r="42" spans="2:5" ht="12.75">
      <c r="B42" s="1"/>
      <c r="C42" s="1"/>
      <c r="D42" s="1"/>
      <c r="E42" s="1"/>
    </row>
    <row r="43" spans="1:2" ht="12.75">
      <c r="A43" s="50" t="s">
        <v>55</v>
      </c>
      <c r="B43" s="1">
        <f>D41-C6</f>
        <v>10.149999999999977</v>
      </c>
    </row>
  </sheetData>
  <mergeCells count="4">
    <mergeCell ref="B1:C1"/>
    <mergeCell ref="D1:E1"/>
    <mergeCell ref="F1:G1"/>
    <mergeCell ref="H1:I1"/>
  </mergeCells>
  <printOptions horizontalCentered="1"/>
  <pageMargins left="0" right="0" top="1.27" bottom="1" header="0.5" footer="0.5"/>
  <pageSetup fitToHeight="1" fitToWidth="1" horizontalDpi="600" verticalDpi="600" orientation="portrait" scale="96" r:id="rId1"/>
  <headerFooter alignWithMargins="0">
    <oddHeader>&amp;C&amp;"Arial,Bold"&amp;14Valley Highlands Hobbies &amp;&amp; Wheels 2004
Financial Statement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7" sqref="D7"/>
    </sheetView>
  </sheetViews>
  <sheetFormatPr defaultColWidth="9.140625" defaultRowHeight="12.75"/>
  <cols>
    <col min="1" max="1" width="16.8515625" style="0" bestFit="1" customWidth="1"/>
    <col min="2" max="2" width="7.28125" style="0" bestFit="1" customWidth="1"/>
    <col min="3" max="3" width="5.421875" style="0" bestFit="1" customWidth="1"/>
    <col min="4" max="4" width="6.28125" style="0" bestFit="1" customWidth="1"/>
  </cols>
  <sheetData>
    <row r="1" spans="1:4" ht="12.75">
      <c r="A1" s="7" t="s">
        <v>39</v>
      </c>
      <c r="B1" s="35" t="s">
        <v>40</v>
      </c>
      <c r="C1" s="35" t="s">
        <v>41</v>
      </c>
      <c r="D1" s="36" t="s">
        <v>42</v>
      </c>
    </row>
    <row r="2" spans="1:4" ht="12.75">
      <c r="A2" s="5" t="s">
        <v>43</v>
      </c>
      <c r="B2" s="33"/>
      <c r="C2" s="33">
        <v>8</v>
      </c>
      <c r="D2" s="34">
        <v>1</v>
      </c>
    </row>
    <row r="3" spans="1:4" ht="12.75">
      <c r="A3" s="2" t="s">
        <v>44</v>
      </c>
      <c r="B3" s="31"/>
      <c r="C3" s="31">
        <v>16</v>
      </c>
      <c r="D3" s="32">
        <v>4</v>
      </c>
    </row>
    <row r="4" spans="1:4" ht="12.75">
      <c r="A4" s="2" t="s">
        <v>45</v>
      </c>
      <c r="B4" s="31"/>
      <c r="C4" s="31">
        <v>18</v>
      </c>
      <c r="D4" s="32">
        <v>11</v>
      </c>
    </row>
    <row r="5" spans="1:4" ht="12.75">
      <c r="A5" s="2" t="s">
        <v>46</v>
      </c>
      <c r="B5" s="31"/>
      <c r="C5" s="31">
        <v>6</v>
      </c>
      <c r="D5" s="32"/>
    </row>
    <row r="6" spans="1:4" ht="12.75">
      <c r="A6" s="2" t="s">
        <v>53</v>
      </c>
      <c r="B6" s="31"/>
      <c r="C6" s="31">
        <v>9</v>
      </c>
      <c r="D6" s="32">
        <v>1</v>
      </c>
    </row>
    <row r="7" spans="1:4" ht="12.75">
      <c r="A7" s="2" t="s">
        <v>47</v>
      </c>
      <c r="B7" s="31"/>
      <c r="C7" s="31">
        <v>8</v>
      </c>
      <c r="D7" s="32">
        <v>1</v>
      </c>
    </row>
    <row r="8" spans="1:4" ht="12.75">
      <c r="A8" s="2" t="s">
        <v>48</v>
      </c>
      <c r="B8" s="31"/>
      <c r="C8" s="31">
        <v>12</v>
      </c>
      <c r="D8" s="32">
        <v>2</v>
      </c>
    </row>
    <row r="9" spans="1:4" ht="12.75">
      <c r="A9" s="2" t="s">
        <v>51</v>
      </c>
      <c r="B9" s="31"/>
      <c r="C9" s="31">
        <v>1</v>
      </c>
      <c r="D9" s="32"/>
    </row>
    <row r="10" spans="1:4" ht="12.75">
      <c r="A10" s="22" t="s">
        <v>52</v>
      </c>
      <c r="B10" s="37"/>
      <c r="C10" s="37">
        <v>2</v>
      </c>
      <c r="D10" s="38"/>
    </row>
    <row r="11" spans="1:4" ht="12.75">
      <c r="A11" s="25" t="s">
        <v>6</v>
      </c>
      <c r="B11" s="39">
        <f>SUM(B2:B10)</f>
        <v>0</v>
      </c>
      <c r="C11" s="39">
        <f>SUM(C2:C10)</f>
        <v>80</v>
      </c>
      <c r="D11" s="40">
        <f>SUM(D2:D10)</f>
        <v>20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Yates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Yates</dc:creator>
  <cp:keywords/>
  <dc:description/>
  <cp:lastModifiedBy>Allan Yates</cp:lastModifiedBy>
  <cp:lastPrinted>2005-02-20T18:22:33Z</cp:lastPrinted>
  <dcterms:created xsi:type="dcterms:W3CDTF">2004-02-24T05:01:57Z</dcterms:created>
  <dcterms:modified xsi:type="dcterms:W3CDTF">2005-04-13T21:23:53Z</dcterms:modified>
  <cp:category/>
  <cp:version/>
  <cp:contentType/>
  <cp:contentStatus/>
</cp:coreProperties>
</file>